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<sst xmlns="http://schemas.openxmlformats.org/spreadsheetml/2006/main" count="502" uniqueCount="150">
  <si>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</si>
  <si>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</si>
  <si>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</si>
  <si>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</si>
  <si>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</si>
  <si>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</si>
  <si>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</si>
  <si>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</si>
  <si>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</si>
  <si>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</si>
  <si>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</si>
  <si>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</si>
  <si>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</si>
  <si>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</si>
  <si>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</si>
  <si>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</si>
  <si>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</si>
  <si>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</si>
  <si>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</si>
  <si>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</si>
  <si>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</si>
  <si>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</si>
  <si>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</si>
  <si>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</si>
  <si>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</si>
  <si>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</si>
  <si>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</si>
  <si>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</si>
  <si>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</si>
  <si>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</si>
  <si>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</si>
  <si>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</si>
  <si>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</si>
  <si>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</si>
  <si>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</si>
  <si>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</si>
  <si>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</si>
  <si>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</si>
  <si>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</si>
  <si>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</si>
  <si>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</si>
  <si>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</si>
  <si>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</si>
  <si>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</si>
  <si>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</si>
  <si>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</si>
  <si>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</si>
  <si>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</si>
  <si>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</si>
  <si>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</si>
  <si>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</si>
  <si>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</si>
  <si>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</si>
  <si>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</si>
  <si>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</si>
  <si>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</si>
  <si>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</si>
  <si>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</si>
  <si>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</si>
  <si>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</si>
  <si>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</si>
  <si>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</si>
  <si>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</si>
  <si>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</si>
  <si>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</si>
  <si>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</si>
  <si>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</si>
  <si>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</si>
  <si>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</si>
  <si>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</si>
  <si>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</si>
  <si>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</si>
  <si>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</si>
  <si>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</si>
  <si>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</si>
  <si>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</si>
  <si>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</si>
  <si>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</si>
  <si>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</si>
  <si>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</si>
  <si>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</si>
  <si>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</si>
  <si>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</si>
  <si>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</si>
  <si>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</si>
  <si>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</si>
  <si>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</si>
  <si>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</si>
  <si>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</si>
  <si>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</si>
  <si>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</si>
  <si>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</si>
  <si>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</si>
  <si>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</si>
  <si>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</si>
  <si>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</si>
  <si>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</si>
  <si>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</si>
  <si>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</si>
  <si>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</si>
  <si>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</si>
  <si>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</si>
  <si>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</si>
  <si>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</si>
  <si>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</si>
  <si>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</si>
  <si>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</si>
  <si>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</si>
  <si>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</si>
  <si>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</si>
  <si>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</si>
  <si>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</si>
  <si>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</si>
  <si>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</si>
  <si>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</si>
  <si>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</si>
  <si>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</si>
  <si>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</si>
  <si>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</si>
  <si>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</si>
  <si>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</si>
  <si>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</si>
  <si>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</si>
  <si>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</si>
  <si>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</si>
  <si>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</si>
  <si>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</si>
  <si>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</si>
  <si>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</si>
  <si>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</si>
  <si>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</si>
  <si>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</si>
  <si>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</si>
  <si>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</si>
  <si>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</si>
  <si>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</si>
  <si>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</si>
  <si>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</si>
  <si>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</si>
  <si>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</si>
  <si>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</si>
  <si>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</si>
  <si>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</si>
  <si>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</si>
  <si>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</si>
  <si>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</si>
  <si>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</si>
  <si>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</si>
  <si>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24.03.2016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</si>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</sst>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147</v>
      </c>
      <c r="N3" s="200" t="s">
        <v>143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146</v>
      </c>
      <c r="F4" s="203" t="s">
        <v>34</v>
      </c>
      <c r="G4" s="205" t="s">
        <v>141</v>
      </c>
      <c r="H4" s="198" t="s">
        <v>142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149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144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180578.75</v>
      </c>
      <c r="G8" s="15">
        <f aca="true" t="shared" si="0" ref="G8:G21">F8-E8</f>
        <v>-19735.430000000022</v>
      </c>
      <c r="H8" s="38">
        <f>F8/E8*100</f>
        <v>90.14776188086134</v>
      </c>
      <c r="I8" s="28">
        <f>F8-D8</f>
        <v>-660471.25</v>
      </c>
      <c r="J8" s="28">
        <f>F8/D8*100</f>
        <v>21.470631948160037</v>
      </c>
      <c r="K8" s="15">
        <f>F8-139482.78</f>
        <v>41095.97</v>
      </c>
      <c r="L8" s="15">
        <f>F8/139482.78*100</f>
        <v>129.4631136546031</v>
      </c>
      <c r="M8" s="15">
        <f>M9+M15+M18+M19+M20+M32+M17</f>
        <v>77601.41</v>
      </c>
      <c r="N8" s="15">
        <f>N9+N15+N18+N19+N20+N32+N17</f>
        <v>40155.725</v>
      </c>
      <c r="O8" s="15">
        <f>N8-M8</f>
        <v>-37445.685000000005</v>
      </c>
      <c r="P8" s="15">
        <f>N8/M8*100</f>
        <v>51.74612806648745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99568.1</v>
      </c>
      <c r="G9" s="36">
        <f t="shared" si="0"/>
        <v>-6415.169999999998</v>
      </c>
      <c r="H9" s="32">
        <f>F9/E9*100</f>
        <v>93.94699748365946</v>
      </c>
      <c r="I9" s="42">
        <f>F9-D9</f>
        <v>-360131.9</v>
      </c>
      <c r="J9" s="42">
        <f>F9/D9*100</f>
        <v>21.659364803132476</v>
      </c>
      <c r="K9" s="106">
        <f>F9-78437.5</f>
        <v>21130.600000000006</v>
      </c>
      <c r="L9" s="106">
        <f>F9/78437.5*100</f>
        <v>126.93941035856575</v>
      </c>
      <c r="M9" s="32">
        <f>E9-лютий!E9</f>
        <v>45393.005000000005</v>
      </c>
      <c r="N9" s="178">
        <f>F9-лютий!F9</f>
        <v>29243.5</v>
      </c>
      <c r="O9" s="40">
        <f>N9-M9</f>
        <v>-16149.505000000005</v>
      </c>
      <c r="P9" s="42">
        <f>N9/M9*100</f>
        <v>64.42292154925632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88772.85</v>
      </c>
      <c r="G10" s="109">
        <f t="shared" si="0"/>
        <v>-5843.989999999991</v>
      </c>
      <c r="H10" s="32">
        <f aca="true" t="shared" si="1" ref="H10:H31">F10/E10*100</f>
        <v>93.82352021056718</v>
      </c>
      <c r="I10" s="110">
        <f aca="true" t="shared" si="2" ref="I10:I32">F10-D10</f>
        <v>-322667.15</v>
      </c>
      <c r="J10" s="110">
        <f aca="true" t="shared" si="3" ref="J10:J31">F10/D10*100</f>
        <v>21.576135037915613</v>
      </c>
      <c r="K10" s="112">
        <f>F10-69239.48</f>
        <v>19533.37000000001</v>
      </c>
      <c r="L10" s="112">
        <f>F10/69239.48*100</f>
        <v>128.2113181670342</v>
      </c>
      <c r="M10" s="111">
        <f>E10-лютий!E10</f>
        <v>40243</v>
      </c>
      <c r="N10" s="179">
        <f>F10-лютий!F10</f>
        <v>26558.90000000001</v>
      </c>
      <c r="O10" s="112">
        <f aca="true" t="shared" si="4" ref="O10:O32">N10-M10</f>
        <v>-13684.099999999991</v>
      </c>
      <c r="P10" s="42">
        <f aca="true" t="shared" si="5" ref="P10:P25">N10/M10*100</f>
        <v>65.99632234177375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6419.64</v>
      </c>
      <c r="G11" s="109">
        <f t="shared" si="0"/>
        <v>-665.2999999999993</v>
      </c>
      <c r="H11" s="32">
        <f t="shared" si="1"/>
        <v>90.60965936197061</v>
      </c>
      <c r="I11" s="110">
        <f t="shared" si="2"/>
        <v>-16580.36</v>
      </c>
      <c r="J11" s="110">
        <f t="shared" si="3"/>
        <v>27.911478260869565</v>
      </c>
      <c r="K11" s="112">
        <f>F11-4902.53</f>
        <v>1517.1100000000006</v>
      </c>
      <c r="L11" s="112">
        <f>F11/4902.53*100</f>
        <v>130.9454506142747</v>
      </c>
      <c r="M11" s="111">
        <f>E11-лютий!E11</f>
        <v>3149.9999999999995</v>
      </c>
      <c r="N11" s="179">
        <f>F11-лютий!F11</f>
        <v>1100.4800000000005</v>
      </c>
      <c r="O11" s="112">
        <f t="shared" si="4"/>
        <v>-2049.519999999999</v>
      </c>
      <c r="P11" s="42">
        <f t="shared" si="5"/>
        <v>34.935873015873035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1425.64</v>
      </c>
      <c r="G12" s="109">
        <f t="shared" si="0"/>
        <v>320.0300000000002</v>
      </c>
      <c r="H12" s="32">
        <f t="shared" si="1"/>
        <v>128.94601170394625</v>
      </c>
      <c r="I12" s="110">
        <f t="shared" si="2"/>
        <v>-5074.36</v>
      </c>
      <c r="J12" s="110">
        <f t="shared" si="3"/>
        <v>21.93292307692308</v>
      </c>
      <c r="K12" s="112">
        <f>F12-1215.38</f>
        <v>210.26</v>
      </c>
      <c r="L12" s="112">
        <f>F12/1215.38*100</f>
        <v>117.29993911369283</v>
      </c>
      <c r="M12" s="111">
        <f>E12-лютий!E12</f>
        <v>479.9999999999999</v>
      </c>
      <c r="N12" s="179">
        <f>F12-лютий!F12</f>
        <v>603.6100000000001</v>
      </c>
      <c r="O12" s="112">
        <f t="shared" si="4"/>
        <v>123.61000000000024</v>
      </c>
      <c r="P12" s="42">
        <f t="shared" si="5"/>
        <v>125.75208333333339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2013.13</v>
      </c>
      <c r="G13" s="109">
        <f t="shared" si="0"/>
        <v>103.29000000000019</v>
      </c>
      <c r="H13" s="32">
        <f t="shared" si="1"/>
        <v>105.40830645499099</v>
      </c>
      <c r="I13" s="110">
        <f t="shared" si="2"/>
        <v>-10386.869999999999</v>
      </c>
      <c r="J13" s="110">
        <f t="shared" si="3"/>
        <v>16.234919354838713</v>
      </c>
      <c r="K13" s="112">
        <f>F13-1220.33</f>
        <v>792.8000000000002</v>
      </c>
      <c r="L13" s="112">
        <f>F13/1220.33*100</f>
        <v>164.96603377774866</v>
      </c>
      <c r="M13" s="111">
        <f>E13-лютий!E13</f>
        <v>880.0049999999999</v>
      </c>
      <c r="N13" s="179">
        <f>F13-лютий!F13</f>
        <v>498.6400000000001</v>
      </c>
      <c r="O13" s="112">
        <f t="shared" si="4"/>
        <v>-381.3649999999998</v>
      </c>
      <c r="P13" s="42">
        <f t="shared" si="5"/>
        <v>56.66331441298631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936.85</v>
      </c>
      <c r="G14" s="109">
        <f t="shared" si="0"/>
        <v>-329.18999999999994</v>
      </c>
      <c r="H14" s="32">
        <f t="shared" si="1"/>
        <v>73.99845186565986</v>
      </c>
      <c r="I14" s="110">
        <f t="shared" si="2"/>
        <v>-5423.15</v>
      </c>
      <c r="J14" s="110">
        <f t="shared" si="3"/>
        <v>14.730345911949685</v>
      </c>
      <c r="K14" s="112">
        <f>F14-1859.78</f>
        <v>-922.93</v>
      </c>
      <c r="L14" s="112">
        <f>F14/1859.78*100</f>
        <v>50.374237813074664</v>
      </c>
      <c r="M14" s="111">
        <f>E14-лютий!E14</f>
        <v>640</v>
      </c>
      <c r="N14" s="179">
        <f>F14-лютий!F14</f>
        <v>481.88</v>
      </c>
      <c r="O14" s="112">
        <f t="shared" si="4"/>
        <v>-158.12</v>
      </c>
      <c r="P14" s="42">
        <f t="shared" si="5"/>
        <v>75.29375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12483.69</v>
      </c>
      <c r="G19" s="36">
        <f t="shared" si="0"/>
        <v>-7576.710000000001</v>
      </c>
      <c r="H19" s="32">
        <f t="shared" si="1"/>
        <v>62.230513848178504</v>
      </c>
      <c r="I19" s="42">
        <f t="shared" si="2"/>
        <v>-97416.31</v>
      </c>
      <c r="J19" s="42">
        <f t="shared" si="3"/>
        <v>11.359135577798</v>
      </c>
      <c r="K19" s="185">
        <f>F19-10070.48</f>
        <v>2413.210000000001</v>
      </c>
      <c r="L19" s="185">
        <f>F19/10070.48*100</f>
        <v>123.96320731484498</v>
      </c>
      <c r="M19" s="32">
        <f>E19-лютий!E19</f>
        <v>8000.000000000002</v>
      </c>
      <c r="N19" s="178">
        <f>F19-лютий!F19</f>
        <v>1622.6900000000005</v>
      </c>
      <c r="O19" s="40">
        <f t="shared" si="4"/>
        <v>-6377.310000000001</v>
      </c>
      <c r="P19" s="42">
        <f t="shared" si="5"/>
        <v>20.283625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68235.77</v>
      </c>
      <c r="G20" s="36">
        <f t="shared" si="0"/>
        <v>-5914.740000000005</v>
      </c>
      <c r="H20" s="32">
        <f t="shared" si="1"/>
        <v>92.02333200405499</v>
      </c>
      <c r="I20" s="42">
        <f t="shared" si="2"/>
        <v>-202704.22999999998</v>
      </c>
      <c r="J20" s="42">
        <f t="shared" si="3"/>
        <v>25.18482689894442</v>
      </c>
      <c r="K20" s="132">
        <f>F20-49978.98</f>
        <v>18256.79</v>
      </c>
      <c r="L20" s="110">
        <f>F20/49978.98*100</f>
        <v>136.528936765016</v>
      </c>
      <c r="M20" s="32">
        <f>M21+M25+M26+M27</f>
        <v>24098.405</v>
      </c>
      <c r="N20" s="178">
        <f>F20-лютий!F20</f>
        <v>9189.330000000002</v>
      </c>
      <c r="O20" s="40">
        <f t="shared" si="4"/>
        <v>-14909.074999999997</v>
      </c>
      <c r="P20" s="42">
        <f t="shared" si="5"/>
        <v>38.13252370851931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30798.170000000002</v>
      </c>
      <c r="G21" s="36">
        <f t="shared" si="0"/>
        <v>-6043.09</v>
      </c>
      <c r="H21" s="32">
        <f t="shared" si="1"/>
        <v>83.59695081004287</v>
      </c>
      <c r="I21" s="42">
        <f t="shared" si="2"/>
        <v>-130601.83</v>
      </c>
      <c r="J21" s="42">
        <f t="shared" si="3"/>
        <v>19.081889714993807</v>
      </c>
      <c r="K21" s="132">
        <f>F21-24610.26</f>
        <v>6187.9100000000035</v>
      </c>
      <c r="L21" s="110">
        <f>F21/24610.26*100</f>
        <v>125.1436189621727</v>
      </c>
      <c r="M21" s="32">
        <f>M22+M23+M24</f>
        <v>13345</v>
      </c>
      <c r="N21" s="178">
        <f>F21-лютий!F21</f>
        <v>5314.120000000003</v>
      </c>
      <c r="O21" s="40">
        <f t="shared" si="4"/>
        <v>-8030.879999999997</v>
      </c>
      <c r="P21" s="42">
        <f t="shared" si="5"/>
        <v>39.82105657549646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3780.31</v>
      </c>
      <c r="G22" s="109">
        <f>F22-E22</f>
        <v>248.71000000000004</v>
      </c>
      <c r="H22" s="111">
        <f t="shared" si="1"/>
        <v>107.04241703477177</v>
      </c>
      <c r="I22" s="110">
        <f t="shared" si="2"/>
        <v>-14719.69</v>
      </c>
      <c r="J22" s="110">
        <f t="shared" si="3"/>
        <v>20.434108108108106</v>
      </c>
      <c r="K22" s="174">
        <f>F22-526.28</f>
        <v>3254.0299999999997</v>
      </c>
      <c r="L22" s="174">
        <f>F22/526.28*100</f>
        <v>718.307744926655</v>
      </c>
      <c r="M22" s="111">
        <f>E22-лютий!E22</f>
        <v>240</v>
      </c>
      <c r="N22" s="179">
        <f>F22-лютий!F22</f>
        <v>227.53999999999996</v>
      </c>
      <c r="O22" s="112">
        <f t="shared" si="4"/>
        <v>-12.460000000000036</v>
      </c>
      <c r="P22" s="110">
        <f t="shared" si="5"/>
        <v>94.80833333333332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312.05</v>
      </c>
      <c r="G23" s="109">
        <f>F23-E23</f>
        <v>110.21000000000001</v>
      </c>
      <c r="H23" s="111">
        <f t="shared" si="1"/>
        <v>154.60265556876735</v>
      </c>
      <c r="I23" s="110">
        <f t="shared" si="2"/>
        <v>-2487.95</v>
      </c>
      <c r="J23" s="110">
        <f t="shared" si="3"/>
        <v>11.144642857142857</v>
      </c>
      <c r="K23" s="110">
        <f>F23-37.7</f>
        <v>274.35</v>
      </c>
      <c r="L23" s="110">
        <f>F23/37.7*100</f>
        <v>827.7188328912466</v>
      </c>
      <c r="M23" s="111">
        <f>E23-лютий!E23</f>
        <v>0</v>
      </c>
      <c r="N23" s="179">
        <f>F23-лютий!F23</f>
        <v>137.84</v>
      </c>
      <c r="O23" s="112">
        <f t="shared" si="4"/>
        <v>137.84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26705.81</v>
      </c>
      <c r="G24" s="109">
        <f>F24-E24</f>
        <v>-6402.009999999998</v>
      </c>
      <c r="H24" s="111">
        <f t="shared" si="1"/>
        <v>80.66314846462255</v>
      </c>
      <c r="I24" s="110">
        <f t="shared" si="2"/>
        <v>-113394.19</v>
      </c>
      <c r="J24" s="110">
        <f t="shared" si="3"/>
        <v>19.061962883654534</v>
      </c>
      <c r="K24" s="174">
        <f>F24-24046.28</f>
        <v>2659.5300000000025</v>
      </c>
      <c r="L24" s="174">
        <f>F24/24046.28*100</f>
        <v>111.0600475416572</v>
      </c>
      <c r="M24" s="111">
        <f>E24-лютий!E24</f>
        <v>13105</v>
      </c>
      <c r="N24" s="179">
        <f>F24-лютий!F24</f>
        <v>4948.740000000002</v>
      </c>
      <c r="O24" s="112">
        <f t="shared" si="4"/>
        <v>-8156.259999999998</v>
      </c>
      <c r="P24" s="110">
        <f t="shared" si="5"/>
        <v>37.76222815719193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-67.96</v>
      </c>
      <c r="G26" s="36">
        <f aca="true" t="shared" si="6" ref="G26:G32">F26-E26</f>
        <v>-67.96</v>
      </c>
      <c r="H26" s="32"/>
      <c r="I26" s="42">
        <f t="shared" si="2"/>
        <v>-67.96</v>
      </c>
      <c r="J26" s="42"/>
      <c r="K26" s="132">
        <f>F26-12.89</f>
        <v>-80.85</v>
      </c>
      <c r="L26" s="132">
        <f>F26/12.89*100</f>
        <v>-527.2304111714507</v>
      </c>
      <c r="M26" s="32">
        <f>E26-лютий!E26</f>
        <v>0</v>
      </c>
      <c r="N26" s="178">
        <f>F26-лютий!F26</f>
        <v>-15.029999999999994</v>
      </c>
      <c r="O26" s="40">
        <f t="shared" si="4"/>
        <v>-15.029999999999994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37480.75</v>
      </c>
      <c r="G27" s="36">
        <f t="shared" si="6"/>
        <v>185.51000000000204</v>
      </c>
      <c r="H27" s="32">
        <f t="shared" si="1"/>
        <v>100.49740932086777</v>
      </c>
      <c r="I27" s="42">
        <f t="shared" si="2"/>
        <v>-71982.25</v>
      </c>
      <c r="J27" s="42">
        <f t="shared" si="3"/>
        <v>34.240565305171614</v>
      </c>
      <c r="K27" s="106">
        <f>F27-25338.21</f>
        <v>12142.54</v>
      </c>
      <c r="L27" s="106">
        <f>F27/25338.21*100</f>
        <v>147.92185399047526</v>
      </c>
      <c r="M27" s="32">
        <f>E27-лютий!E27</f>
        <v>10749.999999999996</v>
      </c>
      <c r="N27" s="178">
        <f>F27-лютий!F27</f>
        <v>3886.239999999998</v>
      </c>
      <c r="O27" s="40">
        <f t="shared" si="4"/>
        <v>-6863.759999999998</v>
      </c>
      <c r="P27" s="42">
        <f>N27/M27*100</f>
        <v>36.151069767441854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9335.97</v>
      </c>
      <c r="F29" s="171">
        <v>9387.18</v>
      </c>
      <c r="G29" s="109">
        <f t="shared" si="6"/>
        <v>51.210000000000946</v>
      </c>
      <c r="H29" s="111">
        <f t="shared" si="1"/>
        <v>100.54852361350777</v>
      </c>
      <c r="I29" s="110">
        <f t="shared" si="2"/>
        <v>-18212.82</v>
      </c>
      <c r="J29" s="110">
        <f t="shared" si="3"/>
        <v>34.01152173913044</v>
      </c>
      <c r="K29" s="142">
        <f>F29-6631.29</f>
        <v>2755.8900000000003</v>
      </c>
      <c r="L29" s="142">
        <f>F29/6631.29*100</f>
        <v>141.5588822084391</v>
      </c>
      <c r="M29" s="111">
        <f>E29-лютий!E29</f>
        <v>3679.999999999999</v>
      </c>
      <c r="N29" s="179">
        <f>F29-лютий!F29</f>
        <v>707.9099999999999</v>
      </c>
      <c r="O29" s="112">
        <f t="shared" si="4"/>
        <v>-2972.0899999999992</v>
      </c>
      <c r="P29" s="110">
        <f>N29/M29*100</f>
        <v>19.236684782608695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28085.91</v>
      </c>
      <c r="G30" s="109">
        <f t="shared" si="6"/>
        <v>149.8299999999981</v>
      </c>
      <c r="H30" s="111">
        <f t="shared" si="1"/>
        <v>100.53633151107815</v>
      </c>
      <c r="I30" s="110">
        <f t="shared" si="2"/>
        <v>-53726.09</v>
      </c>
      <c r="J30" s="110">
        <f t="shared" si="3"/>
        <v>34.329817141739596</v>
      </c>
      <c r="K30" s="142">
        <f>F30-18703.62</f>
        <v>9382.29</v>
      </c>
      <c r="L30" s="142">
        <f>F30/18603.62*100</f>
        <v>150.9701337696642</v>
      </c>
      <c r="M30" s="111">
        <f>E30-лютий!E30</f>
        <v>7050</v>
      </c>
      <c r="N30" s="179">
        <f>F30-лютий!F30</f>
        <v>3178.2400000000016</v>
      </c>
      <c r="O30" s="112">
        <f t="shared" si="4"/>
        <v>-3871.7599999999984</v>
      </c>
      <c r="P30" s="110">
        <f>N30/M30*100</f>
        <v>45.08141843971634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0.28</v>
      </c>
      <c r="G32" s="36">
        <f t="shared" si="6"/>
        <v>0.28</v>
      </c>
      <c r="H32" s="32"/>
      <c r="I32" s="42">
        <f t="shared" si="2"/>
        <v>0.28</v>
      </c>
      <c r="J32" s="42"/>
      <c r="K32" s="132">
        <f>F32-1999.9</f>
        <v>-1999.6200000000001</v>
      </c>
      <c r="L32" s="132">
        <f>F32/1999.24*100</f>
        <v>0.0140053220223685</v>
      </c>
      <c r="M32" s="32">
        <v>0</v>
      </c>
      <c r="N32" s="178">
        <f>F32-лютий!F32</f>
        <v>0.28</v>
      </c>
      <c r="O32" s="40">
        <f t="shared" si="4"/>
        <v>0.28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10080.48</v>
      </c>
      <c r="G33" s="15">
        <f>G34+G35+G36+G37+G38+G39+G41+G42+G43+G44+G45+G50+G51+G55</f>
        <v>-429.5310000000002</v>
      </c>
      <c r="H33" s="38">
        <f>F33/E33*100</f>
        <v>95.91294259741002</v>
      </c>
      <c r="I33" s="28">
        <f>F33-D33</f>
        <v>-32739.52</v>
      </c>
      <c r="J33" s="28">
        <f>F33/D33*100</f>
        <v>23.541522652965902</v>
      </c>
      <c r="K33" s="15">
        <f>F33-7649.28</f>
        <v>2431.2</v>
      </c>
      <c r="L33" s="15">
        <f>F33/7649.28*100</f>
        <v>131.78338353413653</v>
      </c>
      <c r="M33" s="15">
        <f>M34+M35+M36+M37+M38+M39+M41+M42+M43+M44+M45+M50+M51+M55</f>
        <v>5575.005</v>
      </c>
      <c r="N33" s="15">
        <f>N34+N35+N36+N37+N38+N39+N41+N42+N43+N44+N45+N50+N51+N55</f>
        <v>5164.039999999999</v>
      </c>
      <c r="O33" s="15">
        <f>O34+O35+O36+O37+O38+O39+O41+O42+O43+O44+O45+O50+O51+O55</f>
        <v>-410.9649999999998</v>
      </c>
      <c r="P33" s="15">
        <f>N33/M33*100</f>
        <v>92.6284371045407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13.61</v>
      </c>
      <c r="G38" s="36">
        <f t="shared" si="9"/>
        <v>-16.39</v>
      </c>
      <c r="H38" s="32">
        <f t="shared" si="7"/>
        <v>45.36666666666667</v>
      </c>
      <c r="I38" s="42">
        <f t="shared" si="10"/>
        <v>-136.39</v>
      </c>
      <c r="J38" s="42">
        <f t="shared" si="12"/>
        <v>9.073333333333334</v>
      </c>
      <c r="K38" s="42">
        <f>F38-30.76</f>
        <v>-17.150000000000002</v>
      </c>
      <c r="L38" s="42">
        <f>F38/30.76*100</f>
        <v>44.24577373211963</v>
      </c>
      <c r="M38" s="32">
        <f>E38-лютий!E38</f>
        <v>10</v>
      </c>
      <c r="N38" s="178">
        <f>F38-лютий!F38</f>
        <v>9.959999999999999</v>
      </c>
      <c r="O38" s="40">
        <f t="shared" si="11"/>
        <v>-0.040000000000000924</v>
      </c>
      <c r="P38" s="42">
        <f t="shared" si="8"/>
        <v>99.6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2019.79</v>
      </c>
      <c r="G41" s="36">
        <f t="shared" si="9"/>
        <v>-119.23000000000002</v>
      </c>
      <c r="H41" s="32">
        <f t="shared" si="7"/>
        <v>94.42595207150937</v>
      </c>
      <c r="I41" s="42">
        <f t="shared" si="10"/>
        <v>-7880.21</v>
      </c>
      <c r="J41" s="42">
        <f t="shared" si="12"/>
        <v>20.40191919191919</v>
      </c>
      <c r="K41" s="42">
        <f>F41-2528.58</f>
        <v>-508.78999999999996</v>
      </c>
      <c r="L41" s="42">
        <f>F41/2528.58*100</f>
        <v>79.87842979063348</v>
      </c>
      <c r="M41" s="32">
        <f>E41-лютий!E41</f>
        <v>800.0049999999999</v>
      </c>
      <c r="N41" s="178">
        <f>F41-лютий!F41</f>
        <v>668.6199999999999</v>
      </c>
      <c r="O41" s="40">
        <f t="shared" si="11"/>
        <v>-131.385</v>
      </c>
      <c r="P41" s="42">
        <f t="shared" si="8"/>
        <v>83.57697764388973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1361.61</v>
      </c>
      <c r="G45" s="36">
        <f t="shared" si="9"/>
        <v>-11.580000000000155</v>
      </c>
      <c r="H45" s="32">
        <f t="shared" si="7"/>
        <v>99.15670810303016</v>
      </c>
      <c r="I45" s="42">
        <f t="shared" si="10"/>
        <v>-5938.39</v>
      </c>
      <c r="J45" s="42">
        <f t="shared" si="12"/>
        <v>18.652191780821916</v>
      </c>
      <c r="K45" s="132">
        <f>F45-2181.98</f>
        <v>-820.3700000000001</v>
      </c>
      <c r="L45" s="132">
        <f>F45/2181.98*100</f>
        <v>62.402496814819564</v>
      </c>
      <c r="M45" s="32">
        <f>E45-лютий!E45</f>
        <v>477</v>
      </c>
      <c r="N45" s="178">
        <f>F45-лютий!F45</f>
        <v>396.44999999999993</v>
      </c>
      <c r="O45" s="40">
        <f t="shared" si="11"/>
        <v>-80.55000000000007</v>
      </c>
      <c r="P45" s="132">
        <f t="shared" si="8"/>
        <v>83.1132075471698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142.97</v>
      </c>
      <c r="G46" s="36">
        <f t="shared" si="9"/>
        <v>-46.02000000000001</v>
      </c>
      <c r="H46" s="32">
        <f t="shared" si="7"/>
        <v>75.64950526482882</v>
      </c>
      <c r="I46" s="110">
        <f t="shared" si="10"/>
        <v>-957.03</v>
      </c>
      <c r="J46" s="42">
        <f t="shared" si="12"/>
        <v>12.997272727272726</v>
      </c>
      <c r="K46" s="110">
        <f>F46-216.18</f>
        <v>-73.21000000000001</v>
      </c>
      <c r="L46" s="110">
        <f>F46/216.18*100</f>
        <v>66.13470256267925</v>
      </c>
      <c r="M46" s="32">
        <f>E46-лютий!E46</f>
        <v>76.00000000000001</v>
      </c>
      <c r="N46" s="178">
        <f>F46-лютий!F46</f>
        <v>57.53999999999999</v>
      </c>
      <c r="O46" s="112">
        <f t="shared" si="11"/>
        <v>-18.460000000000022</v>
      </c>
      <c r="P46" s="132">
        <f t="shared" si="8"/>
        <v>75.71052631578945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1218.53</v>
      </c>
      <c r="G49" s="36">
        <f t="shared" si="9"/>
        <v>36.3599999999999</v>
      </c>
      <c r="H49" s="32">
        <f t="shared" si="7"/>
        <v>103.07569977245234</v>
      </c>
      <c r="I49" s="110">
        <f t="shared" si="10"/>
        <v>-4935.47</v>
      </c>
      <c r="J49" s="42">
        <f t="shared" si="12"/>
        <v>19.800617484562885</v>
      </c>
      <c r="K49" s="110">
        <f>F49-1921.57</f>
        <v>-703.04</v>
      </c>
      <c r="L49" s="110">
        <f>F49/1921.57*100</f>
        <v>63.41325062318833</v>
      </c>
      <c r="M49" s="32">
        <f>E49-лютий!E49</f>
        <v>400.0000000000001</v>
      </c>
      <c r="N49" s="178">
        <f>F49-лютий!F49</f>
        <v>339.88</v>
      </c>
      <c r="O49" s="112">
        <f t="shared" si="11"/>
        <v>-60.12000000000012</v>
      </c>
      <c r="P49" s="132">
        <f t="shared" si="8"/>
        <v>84.96999999999998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988.12</v>
      </c>
      <c r="G51" s="36">
        <f t="shared" si="9"/>
        <v>-19.860000000000014</v>
      </c>
      <c r="H51" s="32">
        <f t="shared" si="7"/>
        <v>98.02972281196055</v>
      </c>
      <c r="I51" s="42">
        <f t="shared" si="10"/>
        <v>-3811.88</v>
      </c>
      <c r="J51" s="42">
        <f t="shared" si="12"/>
        <v>20.585833333333333</v>
      </c>
      <c r="K51" s="42">
        <f>F51-960.47</f>
        <v>27.649999999999977</v>
      </c>
      <c r="L51" s="42">
        <f>F51/960.47*100</f>
        <v>102.87879892136142</v>
      </c>
      <c r="M51" s="32">
        <f>E51-лютий!E51</f>
        <v>370</v>
      </c>
      <c r="N51" s="178">
        <f>F51-лютий!F51</f>
        <v>265.46000000000004</v>
      </c>
      <c r="O51" s="40">
        <f t="shared" si="11"/>
        <v>-104.53999999999996</v>
      </c>
      <c r="P51" s="42">
        <f t="shared" si="8"/>
        <v>71.74594594594595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225.6</v>
      </c>
      <c r="G53" s="36"/>
      <c r="H53" s="32"/>
      <c r="I53" s="42"/>
      <c r="J53" s="42"/>
      <c r="K53" s="112">
        <f>F53-239.6</f>
        <v>-14</v>
      </c>
      <c r="L53" s="112">
        <f>F53/239.6*100</f>
        <v>94.15692821368948</v>
      </c>
      <c r="M53" s="111"/>
      <c r="N53" s="179">
        <f>F53-лютий!F53</f>
        <v>78.29999999999998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190663.03</v>
      </c>
      <c r="G58" s="37">
        <f>F58-E58</f>
        <v>-20166.481</v>
      </c>
      <c r="H58" s="38">
        <f>F58/E58*100</f>
        <v>90.4346972564007</v>
      </c>
      <c r="I58" s="28">
        <f>F58-D58</f>
        <v>-693237.57</v>
      </c>
      <c r="J58" s="28">
        <f>F58/D58*100</f>
        <v>21.57064154046281</v>
      </c>
      <c r="K58" s="28">
        <f>F58-147138.18</f>
        <v>43524.850000000006</v>
      </c>
      <c r="L58" s="28">
        <f>F58/147138.18*100</f>
        <v>129.58093541730636</v>
      </c>
      <c r="M58" s="15">
        <f>M8+M33+M56+M57</f>
        <v>83178.71500000001</v>
      </c>
      <c r="N58" s="15">
        <f>N8+N33+N56+N57</f>
        <v>45319.765</v>
      </c>
      <c r="O58" s="41">
        <f>N58-M58</f>
        <v>-37858.95000000001</v>
      </c>
      <c r="P58" s="28">
        <f>N58/M58*100</f>
        <v>54.48481020655343</v>
      </c>
      <c r="Q58" s="28">
        <f>N58-34768</f>
        <v>10551.765</v>
      </c>
      <c r="R58" s="128">
        <f>N58/34768</f>
        <v>1.3034907098481363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0.13</v>
      </c>
      <c r="G67" s="36">
        <f aca="true" t="shared" si="13" ref="G67:G77">F67-E67</f>
        <v>-71.87</v>
      </c>
      <c r="H67" s="32"/>
      <c r="I67" s="43">
        <f aca="true" t="shared" si="14" ref="I67:I77">F67-D67</f>
        <v>-4199.87</v>
      </c>
      <c r="J67" s="43">
        <f>F67/D67*100</f>
        <v>0.0030952380952380953</v>
      </c>
      <c r="K67" s="43">
        <f>F67-33.47</f>
        <v>-33.339999999999996</v>
      </c>
      <c r="L67" s="43">
        <f>F67/33.47*100</f>
        <v>0.3884075291305647</v>
      </c>
      <c r="M67" s="32">
        <f>E67-лютий!E67</f>
        <v>72</v>
      </c>
      <c r="N67" s="178">
        <f>F67-лютий!F67</f>
        <v>0.03</v>
      </c>
      <c r="O67" s="40">
        <f aca="true" t="shared" si="15" ref="O67:O80">N67-M67</f>
        <v>-71.97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388.98</v>
      </c>
      <c r="G68" s="36">
        <f t="shared" si="13"/>
        <v>-1002.4300000000001</v>
      </c>
      <c r="H68" s="32">
        <f>F68/E68*100</f>
        <v>27.955814605328406</v>
      </c>
      <c r="I68" s="43">
        <f t="shared" si="14"/>
        <v>-7070.02</v>
      </c>
      <c r="J68" s="43">
        <f>F68/D68*100</f>
        <v>5.2149081646333295</v>
      </c>
      <c r="K68" s="43">
        <f>F68-1409.78</f>
        <v>-1020.8</v>
      </c>
      <c r="L68" s="43">
        <f>F68/1409.78*100</f>
        <v>27.591539105392332</v>
      </c>
      <c r="M68" s="32">
        <f>E68-лютий!E68</f>
        <v>259.01</v>
      </c>
      <c r="N68" s="178">
        <f>F68-лютий!F68</f>
        <v>12.310000000000002</v>
      </c>
      <c r="O68" s="40">
        <f t="shared" si="15"/>
        <v>-246.7</v>
      </c>
      <c r="P68" s="43">
        <f>N68/M68*100</f>
        <v>4.7527122504922605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7684.54</v>
      </c>
      <c r="G69" s="36">
        <f t="shared" si="13"/>
        <v>6797.69</v>
      </c>
      <c r="H69" s="32">
        <f>F69/E69*100</f>
        <v>866.498280430738</v>
      </c>
      <c r="I69" s="43">
        <f t="shared" si="14"/>
        <v>1684.54</v>
      </c>
      <c r="J69" s="43">
        <f>F69/D69*100</f>
        <v>128.07566666666668</v>
      </c>
      <c r="K69" s="43">
        <f>F69-11.06</f>
        <v>7673.48</v>
      </c>
      <c r="L69" s="43">
        <f>F69/11.06*100</f>
        <v>69480.47016274865</v>
      </c>
      <c r="M69" s="32">
        <f>E69-лютий!E69</f>
        <v>302</v>
      </c>
      <c r="N69" s="178">
        <f>F69-лютий!F69</f>
        <v>7037.7</v>
      </c>
      <c r="O69" s="40">
        <f t="shared" si="15"/>
        <v>6735.7</v>
      </c>
      <c r="P69" s="43">
        <f>N69/M69*100</f>
        <v>2330.364238410596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8076.65</v>
      </c>
      <c r="G71" s="45">
        <f t="shared" si="13"/>
        <v>5723.389999999999</v>
      </c>
      <c r="H71" s="52">
        <f>F71/E71*100</f>
        <v>343.2111198932544</v>
      </c>
      <c r="I71" s="44">
        <f t="shared" si="14"/>
        <v>-9594.35</v>
      </c>
      <c r="J71" s="44">
        <f>F71/D71*100</f>
        <v>45.70567596627242</v>
      </c>
      <c r="K71" s="44">
        <f>F71-1454.31</f>
        <v>6622.34</v>
      </c>
      <c r="L71" s="44">
        <f>F71/1454.31*100</f>
        <v>555.3595863330377</v>
      </c>
      <c r="M71" s="45">
        <f>M67+M68+M69+M70</f>
        <v>634.01</v>
      </c>
      <c r="N71" s="183">
        <f>N67+N68+N69+N70</f>
        <v>7051.04</v>
      </c>
      <c r="O71" s="44">
        <f t="shared" si="15"/>
        <v>6417.03</v>
      </c>
      <c r="P71" s="44">
        <f>N71/M71*100</f>
        <v>1112.1338780145425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2018.66</v>
      </c>
      <c r="G74" s="36">
        <f t="shared" si="13"/>
        <v>12.960000000000036</v>
      </c>
      <c r="H74" s="32">
        <f>F74/E74*100</f>
        <v>100.646158448422</v>
      </c>
      <c r="I74" s="43">
        <f t="shared" si="14"/>
        <v>-7481.34</v>
      </c>
      <c r="J74" s="40">
        <f>F74/D74*100</f>
        <v>21.249052631578948</v>
      </c>
      <c r="K74" s="40">
        <f>F74-0</f>
        <v>2018.66</v>
      </c>
      <c r="L74" s="43"/>
      <c r="M74" s="32">
        <f>E74-лютий!E74</f>
        <v>0.7999999999999545</v>
      </c>
      <c r="N74" s="178">
        <f>F74-лютий!F74</f>
        <v>5</v>
      </c>
      <c r="O74" s="40">
        <f>N74-M74</f>
        <v>4.2000000000000455</v>
      </c>
      <c r="P74" s="46">
        <f>N74/M74*100</f>
        <v>625.0000000000355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2019.38</v>
      </c>
      <c r="G76" s="30">
        <f>G72+G75+G73+G74</f>
        <v>13.680000000000037</v>
      </c>
      <c r="H76" s="52">
        <f>F76/E76*100</f>
        <v>100.68205614000101</v>
      </c>
      <c r="I76" s="44">
        <f t="shared" si="14"/>
        <v>-7481.62</v>
      </c>
      <c r="J76" s="44">
        <f>F76/D76*100</f>
        <v>21.25439427428692</v>
      </c>
      <c r="K76" s="44">
        <f>F76-0.58</f>
        <v>2018.8000000000002</v>
      </c>
      <c r="L76" s="44">
        <f>F76/0.58*100</f>
        <v>348168.96551724145</v>
      </c>
      <c r="M76" s="45">
        <f>M72+M75+M73+M74</f>
        <v>0.7999999999999545</v>
      </c>
      <c r="N76" s="183">
        <f>N72+N75+N73+N74</f>
        <v>5.55</v>
      </c>
      <c r="O76" s="45">
        <f>O72+O75+O73+O74</f>
        <v>4.750000000000045</v>
      </c>
      <c r="P76" s="44">
        <f>N76/M76*100</f>
        <v>693.7500000000394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10096.45</v>
      </c>
      <c r="G79" s="37">
        <f>F79-E79</f>
        <v>5724.780000000001</v>
      </c>
      <c r="H79" s="38">
        <f>F79/E79*100</f>
        <v>230.95178730325028</v>
      </c>
      <c r="I79" s="28">
        <f>F79-D79</f>
        <v>-17118.55</v>
      </c>
      <c r="J79" s="28">
        <f>F79/D79*100</f>
        <v>37.098842550064305</v>
      </c>
      <c r="K79" s="28">
        <f>F79-1453.19</f>
        <v>8643.26</v>
      </c>
      <c r="L79" s="28">
        <f>F79/1453.19*100</f>
        <v>694.7783841066895</v>
      </c>
      <c r="M79" s="24">
        <f>M65+M77+M71+M76</f>
        <v>646.8</v>
      </c>
      <c r="N79" s="165">
        <f>N65+N77+N71+N76+N78</f>
        <v>7056.59</v>
      </c>
      <c r="O79" s="28">
        <f t="shared" si="15"/>
        <v>6409.79</v>
      </c>
      <c r="P79" s="28">
        <f>N79/M79*100</f>
        <v>1091.000309214595</v>
      </c>
      <c r="Q79" s="28">
        <f>N79-8104.96</f>
        <v>-1048.37</v>
      </c>
      <c r="R79" s="101">
        <f>N79/8104.96</f>
        <v>0.8706508113550221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200759.48</v>
      </c>
      <c r="G80" s="37">
        <f>F80-E80</f>
        <v>-14441.701000000001</v>
      </c>
      <c r="H80" s="38">
        <f>F80/E80*100</f>
        <v>93.28920922604044</v>
      </c>
      <c r="I80" s="28">
        <f>F80-D80</f>
        <v>-710356.12</v>
      </c>
      <c r="J80" s="28">
        <f>F80/D80*100</f>
        <v>22.03446851310635</v>
      </c>
      <c r="K80" s="28">
        <f>K58+K79</f>
        <v>52168.11000000001</v>
      </c>
      <c r="L80" s="28">
        <f>F80/139550.7*100</f>
        <v>143.86132065263735</v>
      </c>
      <c r="M80" s="15">
        <f>M58+M79</f>
        <v>83825.51500000001</v>
      </c>
      <c r="N80" s="15">
        <f>N58+N79</f>
        <v>52376.354999999996</v>
      </c>
      <c r="O80" s="28">
        <f t="shared" si="15"/>
        <v>-31449.160000000018</v>
      </c>
      <c r="P80" s="28">
        <f>N80/M80*100</f>
        <v>62.48259256146531</v>
      </c>
      <c r="Q80" s="28">
        <f>N80-42872.96</f>
        <v>9503.394999999997</v>
      </c>
      <c r="R80" s="101">
        <f>N80/42872.96</f>
        <v>1.2216640745122334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6</v>
      </c>
      <c r="D82" s="4" t="s">
        <v>36</v>
      </c>
      <c r="N82" s="83"/>
    </row>
    <row r="83" spans="2:17" ht="30.75">
      <c r="B83" s="57" t="s">
        <v>54</v>
      </c>
      <c r="C83" s="31">
        <v>3852.6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42452</v>
      </c>
      <c r="D84" s="31">
        <v>1903.3</v>
      </c>
      <c r="G84" s="4" t="s">
        <v>59</v>
      </c>
      <c r="N84" s="213"/>
      <c r="O84" s="213"/>
    </row>
    <row r="85" spans="3:15" ht="15">
      <c r="C85" s="87">
        <v>42451</v>
      </c>
      <c r="D85" s="31">
        <v>2385.2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42450</v>
      </c>
      <c r="D86" s="31">
        <v>2605.3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26.75109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128</v>
      </c>
      <c r="N3" s="200" t="s">
        <v>119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127</v>
      </c>
      <c r="F4" s="203" t="s">
        <v>34</v>
      </c>
      <c r="G4" s="205" t="s">
        <v>116</v>
      </c>
      <c r="H4" s="198" t="s">
        <v>117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140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118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3"/>
      <c r="O84" s="213"/>
    </row>
    <row r="85" spans="3:15" ht="15">
      <c r="C85" s="87">
        <v>42426</v>
      </c>
      <c r="D85" s="31">
        <v>6256.2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42425</v>
      </c>
      <c r="D86" s="31">
        <v>3536.9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505.3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135</v>
      </c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132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129</v>
      </c>
      <c r="F4" s="203" t="s">
        <v>34</v>
      </c>
      <c r="G4" s="205" t="s">
        <v>130</v>
      </c>
      <c r="H4" s="198" t="s">
        <v>131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24" t="s">
        <v>133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134</v>
      </c>
      <c r="L5" s="211"/>
      <c r="M5" s="199"/>
      <c r="N5" s="225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3"/>
      <c r="O84" s="213"/>
    </row>
    <row r="85" spans="3:15" ht="15">
      <c r="C85" s="87">
        <v>42397</v>
      </c>
      <c r="D85" s="31">
        <v>8685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42396</v>
      </c>
      <c r="D86" s="31">
        <v>4820.3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300.92</v>
      </c>
      <c r="E88" s="74"/>
      <c r="F88" s="140"/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136</v>
      </c>
      <c r="C3" s="192" t="s">
        <v>0</v>
      </c>
      <c r="D3" s="193" t="s">
        <v>115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107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104</v>
      </c>
      <c r="F4" s="226" t="s">
        <v>34</v>
      </c>
      <c r="G4" s="205" t="s">
        <v>109</v>
      </c>
      <c r="H4" s="198" t="s">
        <v>110</v>
      </c>
      <c r="I4" s="205" t="s">
        <v>105</v>
      </c>
      <c r="J4" s="198" t="s">
        <v>106</v>
      </c>
      <c r="K4" s="91" t="s">
        <v>65</v>
      </c>
      <c r="L4" s="96" t="s">
        <v>64</v>
      </c>
      <c r="M4" s="198"/>
      <c r="N4" s="224" t="s">
        <v>103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6.5" customHeight="1">
      <c r="A5" s="190"/>
      <c r="B5" s="191"/>
      <c r="C5" s="192"/>
      <c r="D5" s="193"/>
      <c r="E5" s="202"/>
      <c r="F5" s="227"/>
      <c r="G5" s="206"/>
      <c r="H5" s="199"/>
      <c r="I5" s="206"/>
      <c r="J5" s="199"/>
      <c r="K5" s="210" t="s">
        <v>108</v>
      </c>
      <c r="L5" s="211"/>
      <c r="M5" s="199"/>
      <c r="N5" s="225"/>
      <c r="O5" s="206"/>
      <c r="P5" s="209"/>
      <c r="Q5" s="210" t="s">
        <v>126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2"/>
      <c r="H82" s="212"/>
      <c r="I82" s="212"/>
      <c r="J82" s="21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3"/>
      <c r="O83" s="213"/>
    </row>
    <row r="84" spans="3:15" ht="15">
      <c r="C84" s="87">
        <v>42397</v>
      </c>
      <c r="D84" s="31">
        <v>8685</v>
      </c>
      <c r="F84" s="166" t="s">
        <v>59</v>
      </c>
      <c r="G84" s="214"/>
      <c r="H84" s="214"/>
      <c r="I84" s="131"/>
      <c r="J84" s="215"/>
      <c r="K84" s="215"/>
      <c r="L84" s="215"/>
      <c r="M84" s="215"/>
      <c r="N84" s="213"/>
      <c r="O84" s="213"/>
    </row>
    <row r="85" spans="3:15" ht="15.75" customHeight="1">
      <c r="C85" s="87">
        <v>42396</v>
      </c>
      <c r="D85" s="31">
        <v>4820.3</v>
      </c>
      <c r="F85" s="167"/>
      <c r="G85" s="214"/>
      <c r="H85" s="214"/>
      <c r="I85" s="131"/>
      <c r="J85" s="216"/>
      <c r="K85" s="216"/>
      <c r="L85" s="216"/>
      <c r="M85" s="216"/>
      <c r="N85" s="213"/>
      <c r="O85" s="213"/>
    </row>
    <row r="86" spans="3:13" ht="15.75" customHeight="1">
      <c r="C86" s="87"/>
      <c r="F86" s="167"/>
      <c r="G86" s="220"/>
      <c r="H86" s="220"/>
      <c r="I86" s="139"/>
      <c r="J86" s="215"/>
      <c r="K86" s="215"/>
      <c r="L86" s="215"/>
      <c r="M86" s="215"/>
    </row>
    <row r="87" spans="2:13" ht="18.75" customHeight="1">
      <c r="B87" s="221" t="s">
        <v>57</v>
      </c>
      <c r="C87" s="222"/>
      <c r="D87" s="148">
        <v>300.92</v>
      </c>
      <c r="E87" s="74"/>
      <c r="F87" s="168"/>
      <c r="G87" s="214"/>
      <c r="H87" s="214"/>
      <c r="I87" s="141"/>
      <c r="J87" s="215"/>
      <c r="K87" s="215"/>
      <c r="L87" s="215"/>
      <c r="M87" s="215"/>
    </row>
    <row r="88" spans="6:12" ht="9.75" customHeight="1">
      <c r="F88" s="167"/>
      <c r="G88" s="214"/>
      <c r="H88" s="214"/>
      <c r="I88" s="73"/>
      <c r="J88" s="74"/>
      <c r="K88" s="74"/>
      <c r="L88" s="74"/>
    </row>
    <row r="89" spans="2:12" ht="22.5" customHeight="1" hidden="1">
      <c r="B89" s="217" t="s">
        <v>60</v>
      </c>
      <c r="C89" s="218"/>
      <c r="D89" s="86">
        <v>0</v>
      </c>
      <c r="E89" s="56" t="s">
        <v>24</v>
      </c>
      <c r="F89" s="167"/>
      <c r="G89" s="214"/>
      <c r="H89" s="2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4"/>
      <c r="O90" s="214"/>
    </row>
    <row r="91" spans="4:15" ht="15">
      <c r="D91" s="83"/>
      <c r="I91" s="31"/>
      <c r="N91" s="219"/>
      <c r="O91" s="219"/>
    </row>
    <row r="92" spans="14:15" ht="15">
      <c r="N92" s="214"/>
      <c r="O92" s="2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2016-03-23T07:55:54Z</cp:lastPrinted>
  <dcterms:created xsi:type="dcterms:W3CDTF">2003-07-28T11:27:56Z</dcterms:created>
  <dcterms:modified xsi:type="dcterms:W3CDTF">2016-03-24T08:52:24Z</dcterms:modified>
  <cp:category/>
  <cp:version/>
  <cp:contentType/>
  <cp:contentStatus/>
</cp:coreProperties>
</file>